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lculations" sheetId="1" r:id="rId5"/>
    <sheet state="visible" name="Configurations" sheetId="2" r:id="rId6"/>
  </sheets>
  <definedNames/>
  <calcPr/>
</workbook>
</file>

<file path=xl/sharedStrings.xml><?xml version="1.0" encoding="utf-8"?>
<sst xmlns="http://schemas.openxmlformats.org/spreadsheetml/2006/main" count="125" uniqueCount="85">
  <si>
    <t>Endurance/Capacity</t>
  </si>
  <si>
    <t>Top Speed/Acceleration</t>
  </si>
  <si>
    <t>Battery Specs</t>
  </si>
  <si>
    <t>Variable</t>
  </si>
  <si>
    <t>Units</t>
  </si>
  <si>
    <t>Value</t>
  </si>
  <si>
    <t xml:space="preserve"> </t>
  </si>
  <si>
    <t>Givens</t>
  </si>
  <si>
    <t>V</t>
  </si>
  <si>
    <t>kg</t>
  </si>
  <si>
    <t>$</t>
  </si>
  <si>
    <t>km/h</t>
  </si>
  <si>
    <t>s</t>
  </si>
  <si>
    <t>%</t>
  </si>
  <si>
    <t>CAD</t>
  </si>
  <si>
    <t>Est Mass</t>
  </si>
  <si>
    <t>Pack Voltage</t>
  </si>
  <si>
    <t>Car Mass</t>
  </si>
  <si>
    <t>Wheel Radius</t>
  </si>
  <si>
    <t>Parallel Config</t>
  </si>
  <si>
    <t>Block Quantity</t>
  </si>
  <si>
    <t xml:space="preserve">m </t>
  </si>
  <si>
    <t>Block Price</t>
  </si>
  <si>
    <t>Top Speed</t>
  </si>
  <si>
    <t>0-60</t>
  </si>
  <si>
    <t xml:space="preserve">Endurance Average Speed </t>
  </si>
  <si>
    <t>Nominal Block Voltage</t>
  </si>
  <si>
    <t>Discount</t>
  </si>
  <si>
    <t>Subtotal</t>
  </si>
  <si>
    <t xml:space="preserve"> Total</t>
  </si>
  <si>
    <t>Endurance V_AVG</t>
  </si>
  <si>
    <t>EMXRAX 208 MV</t>
  </si>
  <si>
    <t>V_MAX</t>
  </si>
  <si>
    <t>Peak Block Current</t>
  </si>
  <si>
    <t>A</t>
  </si>
  <si>
    <t>6P (21Ah)</t>
  </si>
  <si>
    <t>m/s</t>
  </si>
  <si>
    <t>Peak Block Voltage</t>
  </si>
  <si>
    <t>Drivetrain Efficiency</t>
  </si>
  <si>
    <t>Final Drive Ratio</t>
  </si>
  <si>
    <t>Nominal Capacity</t>
  </si>
  <si>
    <t>Ah</t>
  </si>
  <si>
    <t>Nominal Motor Voltage</t>
  </si>
  <si>
    <t>Friction Coefficient</t>
  </si>
  <si>
    <t>Full Block Voltage</t>
  </si>
  <si>
    <t>Endurance Distance</t>
  </si>
  <si>
    <t>m</t>
  </si>
  <si>
    <t>0-60 Time</t>
  </si>
  <si>
    <t>Endurance time</t>
  </si>
  <si>
    <t>Motor Omega (from datasheet)</t>
  </si>
  <si>
    <t>rad/s</t>
  </si>
  <si>
    <t>Drag Coefficient</t>
  </si>
  <si>
    <t>1.225 = Sea Level</t>
  </si>
  <si>
    <t>Air Density</t>
  </si>
  <si>
    <t>EMRAX 188 MV</t>
  </si>
  <si>
    <t>kg/m^3</t>
  </si>
  <si>
    <t>Frontal Area</t>
  </si>
  <si>
    <t>m^2</t>
  </si>
  <si>
    <t>Batt Dead Level</t>
  </si>
  <si>
    <t>EXMRAX 228 LV</t>
  </si>
  <si>
    <t>7P (24.5Ah)</t>
  </si>
  <si>
    <t>Calculated</t>
  </si>
  <si>
    <t>Endurance Kinetic Energy</t>
  </si>
  <si>
    <t>J</t>
  </si>
  <si>
    <t>Max Wheel Torque</t>
  </si>
  <si>
    <t>N*m</t>
  </si>
  <si>
    <t>Endurance Drag Energy</t>
  </si>
  <si>
    <t>Max Motor Torque</t>
  </si>
  <si>
    <t>Current Sufficient</t>
  </si>
  <si>
    <t>Mechanical Energy</t>
  </si>
  <si>
    <t>Peak Power</t>
  </si>
  <si>
    <t>W</t>
  </si>
  <si>
    <t>Voltage Below 600V</t>
  </si>
  <si>
    <t>Electrical Energy</t>
  </si>
  <si>
    <t>Top Speed Drag Power</t>
  </si>
  <si>
    <t>Sufficient Capacity?</t>
  </si>
  <si>
    <t>Continuous PWR</t>
  </si>
  <si>
    <t>V_Max RPM</t>
  </si>
  <si>
    <t>rpm</t>
  </si>
  <si>
    <t>Full Charge Voltage</t>
  </si>
  <si>
    <t>Battery Capacity</t>
  </si>
  <si>
    <t>Wh</t>
  </si>
  <si>
    <t>0-60 Peak Power</t>
  </si>
  <si>
    <t>0-60 Peak Current</t>
  </si>
  <si>
    <t>V_Max Peak Current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</si>
</sst>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1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>
      <b/>
      <color theme="1"/>
      <name val="Calibri"/>
    </font>
    <font/>
    <font>
      <color theme="1"/>
      <name val="Calibri"/>
    </font>
    <font>
      <b/>
      <sz val="12.0"/>
      <color theme="1"/>
      <name val="Calibri"/>
    </font>
    <font>
      <i/>
      <color theme="1"/>
      <name val="Arial"/>
      <scheme val="minor"/>
    </font>
    <font>
      <b/>
      <sz val="11.0"/>
      <color theme="1"/>
      <name val="Calibri"/>
    </font>
    <font>
      <i/>
      <sz val="11.0"/>
      <color theme="1"/>
      <name val="Calibri"/>
    </font>
    <font>
      <sz val="11.0"/>
      <color theme="1"/>
      <name val="Calibri"/>
    </font>
  </fonts>
  <fills count="12">
    <fill>
      <patternFill patternType="none"/>
    </fill>
    <fill>
      <patternFill patternType="lightGray"/>
    </fill>
    <fill>
      <patternFill patternType="solid">
        <fgColor rgb="FFFF00FF"/>
        <bgColor rgb="FFFF00FF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rgb="FFCC4125"/>
        <bgColor rgb="FFCC4125"/>
      </patternFill>
    </fill>
    <fill>
      <patternFill patternType="solid">
        <fgColor rgb="FFE06666"/>
        <bgColor rgb="FFE06666"/>
      </patternFill>
    </fill>
    <fill>
      <patternFill patternType="solid">
        <fgColor rgb="FFD5A6BD"/>
        <bgColor rgb="FFD5A6BD"/>
      </patternFill>
    </fill>
    <fill>
      <patternFill patternType="solid">
        <fgColor rgb="FFC9DAF8"/>
        <bgColor rgb="FFC9DAF8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</fills>
  <borders count="22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top style="thin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1" fillId="2" fontId="3" numFmtId="0" xfId="0" applyAlignment="1" applyBorder="1" applyFill="1" applyFont="1">
      <alignment horizontal="center" readingOrder="0"/>
    </xf>
    <xf borderId="2" fillId="0" fontId="4" numFmtId="0" xfId="0" applyBorder="1" applyFont="1"/>
    <xf borderId="3" fillId="0" fontId="4" numFmtId="0" xfId="0" applyBorder="1" applyFont="1"/>
    <xf borderId="0" fillId="0" fontId="5" numFmtId="0" xfId="0" applyFont="1"/>
    <xf borderId="4" fillId="3" fontId="3" numFmtId="0" xfId="0" applyAlignment="1" applyBorder="1" applyFill="1" applyFont="1">
      <alignment horizontal="center" readingOrder="0"/>
    </xf>
    <xf borderId="5" fillId="3" fontId="3" numFmtId="0" xfId="0" applyAlignment="1" applyBorder="1" applyFont="1">
      <alignment horizontal="center" readingOrder="0"/>
    </xf>
    <xf borderId="6" fillId="3" fontId="3" numFmtId="0" xfId="0" applyAlignment="1" applyBorder="1" applyFont="1">
      <alignment horizontal="center" readingOrder="0"/>
    </xf>
    <xf borderId="4" fillId="4" fontId="6" numFmtId="0" xfId="0" applyAlignment="1" applyBorder="1" applyFill="1" applyFont="1">
      <alignment horizontal="center" readingOrder="0"/>
    </xf>
    <xf borderId="5" fillId="0" fontId="4" numFmtId="0" xfId="0" applyBorder="1" applyFont="1"/>
    <xf borderId="0" fillId="0" fontId="7" numFmtId="0" xfId="0" applyAlignment="1" applyFont="1">
      <alignment horizontal="center" readingOrder="0"/>
    </xf>
    <xf borderId="6" fillId="0" fontId="4" numFmtId="0" xfId="0" applyBorder="1" applyFont="1"/>
    <xf borderId="0" fillId="0" fontId="7" numFmtId="0" xfId="0" applyAlignment="1" applyFont="1">
      <alignment horizontal="center"/>
    </xf>
    <xf borderId="7" fillId="5" fontId="8" numFmtId="0" xfId="0" applyAlignment="1" applyBorder="1" applyFill="1" applyFont="1">
      <alignment readingOrder="0"/>
    </xf>
    <xf borderId="8" fillId="5" fontId="9" numFmtId="0" xfId="0" applyAlignment="1" applyBorder="1" applyFont="1">
      <alignment readingOrder="0"/>
    </xf>
    <xf borderId="9" fillId="6" fontId="6" numFmtId="0" xfId="0" applyAlignment="1" applyBorder="1" applyFill="1" applyFont="1">
      <alignment horizontal="center" readingOrder="0"/>
    </xf>
    <xf borderId="10" fillId="7" fontId="10" numFmtId="0" xfId="0" applyAlignment="1" applyBorder="1" applyFill="1" applyFont="1">
      <alignment readingOrder="0"/>
    </xf>
    <xf borderId="5" fillId="6" fontId="6" numFmtId="0" xfId="0" applyAlignment="1" applyBorder="1" applyFont="1">
      <alignment horizontal="center" readingOrder="0"/>
    </xf>
    <xf borderId="11" fillId="5" fontId="8" numFmtId="0" xfId="0" applyAlignment="1" applyBorder="1" applyFont="1">
      <alignment readingOrder="0"/>
    </xf>
    <xf borderId="0" fillId="5" fontId="9" numFmtId="0" xfId="0" applyAlignment="1" applyFont="1">
      <alignment readingOrder="0"/>
    </xf>
    <xf borderId="12" fillId="7" fontId="10" numFmtId="0" xfId="0" applyAlignment="1" applyBorder="1" applyFont="1">
      <alignment readingOrder="0"/>
    </xf>
    <xf borderId="13" fillId="6" fontId="6" numFmtId="0" xfId="0" applyAlignment="1" applyBorder="1" applyFont="1">
      <alignment horizontal="center" readingOrder="0"/>
    </xf>
    <xf borderId="14" fillId="5" fontId="9" numFmtId="0" xfId="0" applyAlignment="1" applyBorder="1" applyFont="1">
      <alignment readingOrder="0"/>
    </xf>
    <xf borderId="0" fillId="0" fontId="2" numFmtId="0" xfId="0" applyAlignment="1" applyFont="1">
      <alignment readingOrder="0"/>
    </xf>
    <xf borderId="0" fillId="8" fontId="1" numFmtId="0" xfId="0" applyAlignment="1" applyFill="1" applyFont="1">
      <alignment readingOrder="0"/>
    </xf>
    <xf borderId="0" fillId="9" fontId="1" numFmtId="0" xfId="0" applyAlignment="1" applyFill="1" applyFont="1">
      <alignment readingOrder="0"/>
    </xf>
    <xf borderId="0" fillId="9" fontId="1" numFmtId="164" xfId="0" applyAlignment="1" applyFont="1" applyNumberFormat="1">
      <alignment readingOrder="0"/>
    </xf>
    <xf borderId="0" fillId="10" fontId="1" numFmtId="0" xfId="0" applyAlignment="1" applyFill="1" applyFont="1">
      <alignment readingOrder="0"/>
    </xf>
    <xf borderId="12" fillId="7" fontId="10" numFmtId="0" xfId="0" applyBorder="1" applyFont="1"/>
    <xf borderId="0" fillId="5" fontId="9" numFmtId="0" xfId="0" applyFont="1"/>
    <xf borderId="0" fillId="11" fontId="1" numFmtId="9" xfId="0" applyFill="1" applyFont="1" applyNumberFormat="1"/>
    <xf borderId="11" fillId="5" fontId="10" numFmtId="0" xfId="0" applyAlignment="1" applyBorder="1" applyFont="1">
      <alignment readingOrder="0"/>
    </xf>
    <xf borderId="0" fillId="5" fontId="10" numFmtId="0" xfId="0" applyAlignment="1" applyFont="1">
      <alignment readingOrder="0"/>
    </xf>
    <xf borderId="0" fillId="11" fontId="1" numFmtId="164" xfId="0" applyFont="1" applyNumberFormat="1"/>
    <xf borderId="11" fillId="0" fontId="5" numFmtId="0" xfId="0" applyBorder="1" applyFont="1"/>
    <xf borderId="12" fillId="0" fontId="5" numFmtId="0" xfId="0" applyBorder="1" applyFont="1"/>
    <xf borderId="0" fillId="0" fontId="7" numFmtId="0" xfId="0" applyAlignment="1" applyFont="1">
      <alignment readingOrder="0"/>
    </xf>
    <xf borderId="15" fillId="5" fontId="8" numFmtId="0" xfId="0" applyAlignment="1" applyBorder="1" applyFont="1">
      <alignment readingOrder="0"/>
    </xf>
    <xf borderId="16" fillId="5" fontId="9" numFmtId="0" xfId="0" applyAlignment="1" applyBorder="1" applyFont="1">
      <alignment readingOrder="0"/>
    </xf>
    <xf borderId="17" fillId="7" fontId="10" numFmtId="0" xfId="0" applyAlignment="1" applyBorder="1" applyFont="1">
      <alignment readingOrder="0"/>
    </xf>
    <xf borderId="7" fillId="4" fontId="6" numFmtId="0" xfId="0" applyAlignment="1" applyBorder="1" applyFont="1">
      <alignment horizontal="center" readingOrder="0"/>
    </xf>
    <xf borderId="18" fillId="0" fontId="4" numFmtId="0" xfId="0" applyBorder="1" applyFont="1"/>
    <xf borderId="0" fillId="8" fontId="1" numFmtId="0" xfId="0" applyFont="1"/>
    <xf borderId="10" fillId="0" fontId="4" numFmtId="0" xfId="0" applyBorder="1" applyFont="1"/>
    <xf borderId="0" fillId="9" fontId="1" numFmtId="0" xfId="0" applyFont="1"/>
    <xf borderId="0" fillId="10" fontId="1" numFmtId="0" xfId="0" applyFont="1"/>
    <xf borderId="18" fillId="5" fontId="9" numFmtId="0" xfId="0" applyAlignment="1" applyBorder="1" applyFont="1">
      <alignment readingOrder="0"/>
    </xf>
    <xf borderId="10" fillId="7" fontId="10" numFmtId="0" xfId="0" applyBorder="1" applyFont="1"/>
    <xf borderId="12" fillId="7" fontId="10" numFmtId="2" xfId="0" applyBorder="1" applyFont="1" applyNumberFormat="1"/>
    <xf borderId="12" fillId="7" fontId="10" numFmtId="1" xfId="0" applyBorder="1" applyFont="1" applyNumberFormat="1"/>
    <xf borderId="19" fillId="5" fontId="8" numFmtId="0" xfId="0" applyAlignment="1" applyBorder="1" applyFont="1">
      <alignment readingOrder="0"/>
    </xf>
    <xf borderId="20" fillId="5" fontId="9" numFmtId="0" xfId="0" applyAlignment="1" applyBorder="1" applyFont="1">
      <alignment readingOrder="0"/>
    </xf>
    <xf borderId="21" fillId="7" fontId="10" numFmtId="0" xfId="0" applyBorder="1" applyFont="1"/>
    <xf borderId="19" fillId="5" fontId="10" numFmtId="0" xfId="0" applyAlignment="1" applyBorder="1" applyFont="1">
      <alignment readingOrder="0"/>
    </xf>
    <xf borderId="20" fillId="5" fontId="10" numFmtId="0" xfId="0" applyAlignment="1" applyBorder="1" applyFont="1">
      <alignment readingOrder="0"/>
    </xf>
  </cellXfs>
  <cellStyles count="1">
    <cellStyle xfId="0" name="Normal" builtinId="0"/>
  </cellStyles>
  <dxfs count="1">
    <dxf>
      <font/>
      <fill>
        <patternFill patternType="solid">
          <fgColor rgb="FF00FF00"/>
          <bgColor rgb="FF00FF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5"/>
    <col customWidth="1" min="2" max="2" width="19.0"/>
    <col customWidth="1" min="6" max="6" width="24.88"/>
    <col customWidth="1" min="10" max="10" width="18.13"/>
  </cols>
  <sheetData>
    <row r="1">
      <c r="A1" s="1">
        <v>1.0</v>
      </c>
      <c r="B1" s="2"/>
      <c r="C1" s="2"/>
      <c r="D1" s="2"/>
    </row>
    <row r="2">
      <c r="A2" s="1"/>
      <c r="B2" s="3" t="s">
        <v>0</v>
      </c>
      <c r="C2" s="4"/>
      <c r="D2" s="5"/>
      <c r="E2" s="6"/>
      <c r="F2" s="3" t="s">
        <v>1</v>
      </c>
      <c r="G2" s="4"/>
      <c r="H2" s="5"/>
      <c r="I2" s="6"/>
      <c r="J2" s="3" t="s">
        <v>2</v>
      </c>
      <c r="K2" s="4"/>
      <c r="L2" s="5"/>
    </row>
    <row r="3">
      <c r="A3" s="1"/>
      <c r="B3" s="7" t="s">
        <v>3</v>
      </c>
      <c r="C3" s="8" t="s">
        <v>4</v>
      </c>
      <c r="D3" s="9" t="s">
        <v>5</v>
      </c>
      <c r="E3" s="6"/>
      <c r="F3" s="7" t="s">
        <v>3</v>
      </c>
      <c r="G3" s="8" t="s">
        <v>4</v>
      </c>
      <c r="H3" s="9" t="s">
        <v>5</v>
      </c>
      <c r="I3" s="6"/>
      <c r="J3" s="7" t="s">
        <v>3</v>
      </c>
      <c r="K3" s="8" t="s">
        <v>4</v>
      </c>
      <c r="L3" s="9" t="s">
        <v>3</v>
      </c>
    </row>
    <row r="4">
      <c r="A4" s="1" t="s">
        <v>6</v>
      </c>
      <c r="B4" s="10" t="s">
        <v>7</v>
      </c>
      <c r="C4" s="11"/>
      <c r="D4" s="13"/>
      <c r="E4" s="6"/>
      <c r="F4" s="10" t="s">
        <v>7</v>
      </c>
      <c r="G4" s="11"/>
      <c r="H4" s="13"/>
      <c r="I4" s="6"/>
      <c r="J4" s="10" t="s">
        <v>7</v>
      </c>
      <c r="K4" s="11"/>
      <c r="L4" s="13"/>
    </row>
    <row r="5">
      <c r="B5" s="15" t="s">
        <v>15</v>
      </c>
      <c r="C5" s="16" t="s">
        <v>9</v>
      </c>
      <c r="D5" s="18">
        <v>300.0</v>
      </c>
      <c r="E5" s="6"/>
      <c r="F5" s="20" t="s">
        <v>18</v>
      </c>
      <c r="G5" s="21" t="s">
        <v>21</v>
      </c>
      <c r="H5" s="22">
        <v>0.3556</v>
      </c>
      <c r="I5" s="6"/>
      <c r="J5" s="20" t="s">
        <v>26</v>
      </c>
      <c r="K5" s="21" t="s">
        <v>8</v>
      </c>
      <c r="L5" s="22">
        <v>3.6</v>
      </c>
    </row>
    <row r="6">
      <c r="B6" s="20" t="s">
        <v>30</v>
      </c>
      <c r="C6" s="24" t="s">
        <v>11</v>
      </c>
      <c r="D6" s="22">
        <v>58.0</v>
      </c>
      <c r="E6" s="6"/>
      <c r="F6" s="20" t="s">
        <v>32</v>
      </c>
      <c r="G6" s="21" t="s">
        <v>11</v>
      </c>
      <c r="H6" s="22">
        <v>100.0</v>
      </c>
      <c r="I6" s="6"/>
      <c r="J6" s="20" t="s">
        <v>33</v>
      </c>
      <c r="K6" s="21" t="s">
        <v>34</v>
      </c>
      <c r="L6" s="22">
        <v>210.0</v>
      </c>
    </row>
    <row r="7">
      <c r="B7" s="20" t="s">
        <v>30</v>
      </c>
      <c r="C7" s="24" t="s">
        <v>36</v>
      </c>
      <c r="D7" s="30">
        <f>D6/3.6</f>
        <v>16.11111111</v>
      </c>
      <c r="E7" s="6"/>
      <c r="F7" s="20" t="s">
        <v>32</v>
      </c>
      <c r="G7" s="21" t="s">
        <v>36</v>
      </c>
      <c r="H7" s="30">
        <f>$H$6/3.6</f>
        <v>27.77777778</v>
      </c>
      <c r="I7" s="6"/>
      <c r="J7" s="20" t="s">
        <v>37</v>
      </c>
      <c r="K7" s="21" t="s">
        <v>8</v>
      </c>
      <c r="L7" s="22">
        <v>4.2</v>
      </c>
    </row>
    <row r="8">
      <c r="B8" s="20" t="s">
        <v>38</v>
      </c>
      <c r="C8" s="24"/>
      <c r="D8" s="22">
        <v>0.5</v>
      </c>
      <c r="E8" s="6"/>
      <c r="F8" s="20" t="s">
        <v>39</v>
      </c>
      <c r="G8" s="31"/>
      <c r="H8" s="22">
        <v>5.0</v>
      </c>
      <c r="I8" s="6"/>
      <c r="J8" s="20" t="s">
        <v>40</v>
      </c>
      <c r="K8" s="21" t="s">
        <v>41</v>
      </c>
      <c r="L8" s="22">
        <v>21.0</v>
      </c>
    </row>
    <row r="9">
      <c r="B9" s="20" t="s">
        <v>42</v>
      </c>
      <c r="C9" s="24" t="s">
        <v>8</v>
      </c>
      <c r="D9" s="22">
        <v>250.0</v>
      </c>
      <c r="E9" s="6"/>
      <c r="F9" s="20" t="s">
        <v>43</v>
      </c>
      <c r="G9" s="31"/>
      <c r="H9" s="22">
        <v>1.5</v>
      </c>
      <c r="I9" s="6"/>
      <c r="J9" s="20" t="s">
        <v>44</v>
      </c>
      <c r="K9" s="21" t="s">
        <v>8</v>
      </c>
      <c r="L9" s="22">
        <v>4.2</v>
      </c>
    </row>
    <row r="10">
      <c r="B10" s="20" t="s">
        <v>45</v>
      </c>
      <c r="C10" s="24" t="s">
        <v>46</v>
      </c>
      <c r="D10" s="22">
        <v>29000.0</v>
      </c>
      <c r="E10" s="6"/>
      <c r="F10" s="20" t="s">
        <v>47</v>
      </c>
      <c r="G10" s="21" t="s">
        <v>12</v>
      </c>
      <c r="H10" s="22">
        <v>4.0</v>
      </c>
      <c r="I10" s="6"/>
      <c r="J10" s="33"/>
      <c r="K10" s="34"/>
      <c r="L10" s="22"/>
    </row>
    <row r="11">
      <c r="B11" s="20" t="s">
        <v>48</v>
      </c>
      <c r="C11" s="24" t="s">
        <v>12</v>
      </c>
      <c r="D11" s="30">
        <f>$D$10/$D$7</f>
        <v>1800</v>
      </c>
      <c r="E11" s="6"/>
      <c r="F11" s="20" t="s">
        <v>49</v>
      </c>
      <c r="G11" s="21" t="s">
        <v>50</v>
      </c>
      <c r="H11" s="22">
        <v>387.5</v>
      </c>
      <c r="I11" s="6"/>
      <c r="J11" s="33"/>
      <c r="K11" s="34"/>
      <c r="L11" s="22"/>
    </row>
    <row r="12">
      <c r="B12" s="20" t="s">
        <v>51</v>
      </c>
      <c r="C12" s="24"/>
      <c r="D12" s="22">
        <v>1.3</v>
      </c>
      <c r="E12" s="6"/>
      <c r="F12" s="36"/>
      <c r="G12" s="6"/>
      <c r="H12" s="37"/>
      <c r="I12" s="6"/>
      <c r="J12" s="36"/>
      <c r="K12" s="6"/>
      <c r="L12" s="37"/>
    </row>
    <row r="13">
      <c r="A13" s="38" t="s">
        <v>52</v>
      </c>
      <c r="B13" s="20" t="s">
        <v>53</v>
      </c>
      <c r="C13" s="24" t="s">
        <v>55</v>
      </c>
      <c r="D13" s="22">
        <v>1.225</v>
      </c>
      <c r="E13" s="6"/>
      <c r="F13" s="36"/>
      <c r="G13" s="6"/>
      <c r="H13" s="37"/>
      <c r="I13" s="6"/>
      <c r="J13" s="36"/>
      <c r="K13" s="6"/>
      <c r="L13" s="37"/>
    </row>
    <row r="14">
      <c r="B14" s="20" t="s">
        <v>56</v>
      </c>
      <c r="C14" s="24" t="s">
        <v>57</v>
      </c>
      <c r="D14" s="22">
        <v>1.2</v>
      </c>
      <c r="E14" s="6"/>
      <c r="F14" s="36"/>
      <c r="G14" s="6"/>
      <c r="H14" s="37"/>
      <c r="I14" s="6"/>
      <c r="J14" s="36"/>
      <c r="K14" s="6"/>
      <c r="L14" s="37"/>
    </row>
    <row r="15">
      <c r="B15" s="39" t="s">
        <v>58</v>
      </c>
      <c r="C15" s="40"/>
      <c r="D15" s="41">
        <v>0.1</v>
      </c>
      <c r="E15" s="6"/>
      <c r="F15" s="36"/>
      <c r="G15" s="6"/>
      <c r="H15" s="37"/>
      <c r="I15" s="6"/>
      <c r="J15" s="36"/>
      <c r="K15" s="6"/>
      <c r="L15" s="37"/>
    </row>
    <row r="16">
      <c r="B16" s="36"/>
      <c r="C16" s="6"/>
      <c r="D16" s="37"/>
      <c r="E16" s="6"/>
      <c r="F16" s="36"/>
      <c r="G16" s="6"/>
      <c r="H16" s="37"/>
      <c r="I16" s="6"/>
      <c r="J16" s="36"/>
      <c r="K16" s="6"/>
      <c r="L16" s="37"/>
    </row>
    <row r="17">
      <c r="B17" s="42" t="s">
        <v>61</v>
      </c>
      <c r="C17" s="43"/>
      <c r="D17" s="45"/>
      <c r="E17" s="6"/>
      <c r="F17" s="10" t="s">
        <v>61</v>
      </c>
      <c r="G17" s="11"/>
      <c r="H17" s="13"/>
      <c r="I17" s="6"/>
      <c r="J17" s="10" t="s">
        <v>61</v>
      </c>
      <c r="K17" s="11"/>
      <c r="L17" s="13"/>
    </row>
    <row r="18">
      <c r="B18" s="15" t="s">
        <v>62</v>
      </c>
      <c r="C18" s="48" t="s">
        <v>63</v>
      </c>
      <c r="D18" s="49">
        <f>0.5*$D$5*($D$7^2)</f>
        <v>38935.18519</v>
      </c>
      <c r="E18" s="6"/>
      <c r="F18" s="20" t="s">
        <v>64</v>
      </c>
      <c r="G18" s="21" t="s">
        <v>65</v>
      </c>
      <c r="H18" s="30">
        <f>$H$9*$D$5*9.81*$H$5*0.5</f>
        <v>784.8981</v>
      </c>
      <c r="I18" s="6"/>
      <c r="J18" s="20" t="s">
        <v>20</v>
      </c>
      <c r="K18" s="34"/>
      <c r="L18" s="30">
        <f>$D$9/$L$5</f>
        <v>69.44444444</v>
      </c>
    </row>
    <row r="19">
      <c r="B19" s="20" t="s">
        <v>66</v>
      </c>
      <c r="C19" s="21" t="s">
        <v>63</v>
      </c>
      <c r="D19" s="30">
        <f>0.5*$D$13*$D$12*$D$14*($D$7^2)*$D$10</f>
        <v>7192496.759</v>
      </c>
      <c r="E19" s="6"/>
      <c r="F19" s="20" t="s">
        <v>67</v>
      </c>
      <c r="G19" s="21" t="s">
        <v>65</v>
      </c>
      <c r="H19" s="30">
        <f>$H$18/$H$8/$D$8</f>
        <v>313.95924</v>
      </c>
      <c r="I19" s="6"/>
      <c r="J19" s="20" t="s">
        <v>68</v>
      </c>
      <c r="K19" s="34"/>
      <c r="L19" s="30" t="str">
        <f>IF($L$6 &gt; $H$24, "Yes", "No")</f>
        <v>Yes</v>
      </c>
    </row>
    <row r="20">
      <c r="B20" s="20" t="s">
        <v>69</v>
      </c>
      <c r="C20" s="21" t="s">
        <v>63</v>
      </c>
      <c r="D20" s="30">
        <f>D18+D19</f>
        <v>7231431.944</v>
      </c>
      <c r="E20" s="6"/>
      <c r="F20" s="20" t="s">
        <v>70</v>
      </c>
      <c r="G20" s="21" t="s">
        <v>71</v>
      </c>
      <c r="H20" s="30">
        <f>$H$19*$H$11</f>
        <v>121659.2055</v>
      </c>
      <c r="I20" s="6"/>
      <c r="J20" s="20" t="s">
        <v>72</v>
      </c>
      <c r="K20" s="34"/>
      <c r="L20" s="30" t="str">
        <f>IF(($L$7*$L$18) &lt; 600, "Yes", "No")</f>
        <v>Yes</v>
      </c>
    </row>
    <row r="21">
      <c r="B21" s="20" t="s">
        <v>73</v>
      </c>
      <c r="C21" s="21" t="s">
        <v>63</v>
      </c>
      <c r="D21" s="50">
        <f>D20/$D$8</f>
        <v>14462863.89</v>
      </c>
      <c r="E21" s="6"/>
      <c r="F21" s="20" t="s">
        <v>74</v>
      </c>
      <c r="G21" s="21" t="s">
        <v>71</v>
      </c>
      <c r="H21" s="30">
        <f>(0.5 * $D$13 * $D$12 * $D$14 * ($H$7^3))/$D$8</f>
        <v>40959.36214</v>
      </c>
      <c r="I21" s="6"/>
      <c r="J21" s="20" t="s">
        <v>75</v>
      </c>
      <c r="K21" s="34"/>
      <c r="L21" s="30" t="str">
        <f>IF($L$8 &gt; $D$24, "Yes", "No")</f>
        <v>Yes</v>
      </c>
    </row>
    <row r="22">
      <c r="B22" s="20" t="s">
        <v>76</v>
      </c>
      <c r="C22" s="21" t="s">
        <v>71</v>
      </c>
      <c r="D22" s="30">
        <f>D21/$D$11</f>
        <v>8034.924383</v>
      </c>
      <c r="E22" s="6"/>
      <c r="F22" s="20" t="s">
        <v>77</v>
      </c>
      <c r="G22" s="21" t="s">
        <v>78</v>
      </c>
      <c r="H22" s="30">
        <f>($H$7/(2*3.14 * $H$5))*$H$8 * 60</f>
        <v>3731.619535</v>
      </c>
      <c r="I22" s="6"/>
      <c r="J22" s="20" t="s">
        <v>79</v>
      </c>
      <c r="K22" s="21" t="s">
        <v>8</v>
      </c>
      <c r="L22" s="51">
        <f>L18*L9</f>
        <v>291.6666667</v>
      </c>
    </row>
    <row r="23">
      <c r="B23" s="20" t="s">
        <v>80</v>
      </c>
      <c r="C23" s="21" t="s">
        <v>81</v>
      </c>
      <c r="D23" s="30">
        <f>($D$21/(1-$D$15))/3600</f>
        <v>4463.846879</v>
      </c>
      <c r="E23" s="6"/>
      <c r="F23" s="20" t="s">
        <v>82</v>
      </c>
      <c r="G23" s="21" t="s">
        <v>71</v>
      </c>
      <c r="H23" s="30">
        <f> ((0.5 * $D$5 * 16.667^2)/$H$10)/$D$8</f>
        <v>20834.16668</v>
      </c>
      <c r="I23" s="6"/>
      <c r="J23" s="33"/>
      <c r="K23" s="34"/>
      <c r="L23" s="30"/>
    </row>
    <row r="24">
      <c r="B24" s="52" t="s">
        <v>80</v>
      </c>
      <c r="C24" s="53" t="s">
        <v>41</v>
      </c>
      <c r="D24" s="54">
        <f>D23/$D$9</f>
        <v>17.85538752</v>
      </c>
      <c r="E24" s="6"/>
      <c r="F24" s="20" t="s">
        <v>83</v>
      </c>
      <c r="G24" s="21" t="s">
        <v>34</v>
      </c>
      <c r="H24" s="30">
        <f>$H$23/$D$9</f>
        <v>83.3366667</v>
      </c>
      <c r="I24" s="6"/>
      <c r="J24" s="55"/>
      <c r="K24" s="56"/>
      <c r="L24" s="54"/>
    </row>
    <row r="25">
      <c r="F25" s="52" t="s">
        <v>84</v>
      </c>
      <c r="G25" s="53" t="s">
        <v>34</v>
      </c>
      <c r="H25" s="54">
        <f>$H$21/$D$9</f>
        <v>163.8374486</v>
      </c>
    </row>
  </sheetData>
  <mergeCells count="9">
    <mergeCell ref="F17:H17"/>
    <mergeCell ref="J17:L17"/>
    <mergeCell ref="B2:D2"/>
    <mergeCell ref="F2:H2"/>
    <mergeCell ref="J2:L2"/>
    <mergeCell ref="B4:D4"/>
    <mergeCell ref="F4:H4"/>
    <mergeCell ref="J4:L4"/>
    <mergeCell ref="B17:D1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4.38"/>
    <col customWidth="1" min="5" max="6" width="13.25"/>
    <col customWidth="1" min="7" max="7" width="9.5"/>
    <col customWidth="1" min="8" max="8" width="4.63"/>
    <col customWidth="1" min="9" max="9" width="22.88"/>
    <col customWidth="1" min="10" max="10" width="8.25"/>
    <col customWidth="1" min="11" max="12" width="8.38"/>
  </cols>
  <sheetData>
    <row r="2">
      <c r="B2" s="12" t="s">
        <v>8</v>
      </c>
      <c r="C2" s="12" t="s">
        <v>9</v>
      </c>
      <c r="D2" s="12"/>
      <c r="E2" s="14"/>
      <c r="F2" s="12" t="s">
        <v>10</v>
      </c>
      <c r="G2" s="12" t="s">
        <v>11</v>
      </c>
      <c r="H2" s="12" t="s">
        <v>12</v>
      </c>
      <c r="I2" s="12" t="s">
        <v>11</v>
      </c>
      <c r="J2" s="12" t="s">
        <v>13</v>
      </c>
      <c r="K2" s="12" t="s">
        <v>14</v>
      </c>
      <c r="L2" s="12" t="s">
        <v>14</v>
      </c>
    </row>
    <row r="3">
      <c r="B3" s="17" t="s">
        <v>16</v>
      </c>
      <c r="C3" s="19" t="s">
        <v>17</v>
      </c>
      <c r="D3" s="19" t="s">
        <v>19</v>
      </c>
      <c r="E3" s="19" t="s">
        <v>20</v>
      </c>
      <c r="F3" s="19" t="s">
        <v>22</v>
      </c>
      <c r="G3" s="19" t="s">
        <v>23</v>
      </c>
      <c r="H3" s="19" t="s">
        <v>24</v>
      </c>
      <c r="I3" s="19" t="s">
        <v>25</v>
      </c>
      <c r="J3" s="19" t="s">
        <v>27</v>
      </c>
      <c r="K3" s="19" t="s">
        <v>28</v>
      </c>
      <c r="L3" s="23" t="s">
        <v>29</v>
      </c>
    </row>
    <row r="4">
      <c r="A4" s="25" t="s">
        <v>31</v>
      </c>
      <c r="B4" s="26">
        <v>420.0</v>
      </c>
      <c r="C4" s="26">
        <v>300.0</v>
      </c>
      <c r="D4" s="27" t="s">
        <v>35</v>
      </c>
      <c r="E4" s="27">
        <v>117.0</v>
      </c>
      <c r="F4" s="28">
        <v>89.0</v>
      </c>
      <c r="G4" s="29">
        <v>100.0</v>
      </c>
      <c r="H4" s="29">
        <v>4.0</v>
      </c>
      <c r="I4" s="29">
        <v>58.0</v>
      </c>
      <c r="J4" s="32">
        <f t="shared" ref="J4:J9" si="1">IF(E4&gt;=250, 0.3, IF(E4&gt;=100, 0.23, IF(E4&gt;=25, 0.1, 0)))</f>
        <v>0.23</v>
      </c>
      <c r="K4" s="35">
        <f t="shared" ref="K4:K9" si="2">E4*F4*(1-J4)</f>
        <v>8018.01</v>
      </c>
      <c r="L4" s="35">
        <f t="shared" ref="L4:L9" si="3">K4*1.15</f>
        <v>9220.7115</v>
      </c>
    </row>
    <row r="5">
      <c r="A5" s="25" t="s">
        <v>54</v>
      </c>
      <c r="B5" s="26">
        <v>390.0</v>
      </c>
      <c r="C5" s="26">
        <v>300.0</v>
      </c>
      <c r="D5" s="27" t="s">
        <v>35</v>
      </c>
      <c r="E5" s="27">
        <v>109.0</v>
      </c>
      <c r="F5" s="28">
        <v>89.0</v>
      </c>
      <c r="G5" s="29">
        <v>100.0</v>
      </c>
      <c r="H5" s="29">
        <v>4.0</v>
      </c>
      <c r="I5" s="29">
        <v>58.0</v>
      </c>
      <c r="J5" s="32">
        <f t="shared" si="1"/>
        <v>0.23</v>
      </c>
      <c r="K5" s="35">
        <f t="shared" si="2"/>
        <v>7469.77</v>
      </c>
      <c r="L5" s="35">
        <f t="shared" si="3"/>
        <v>8590.2355</v>
      </c>
    </row>
    <row r="6">
      <c r="A6" s="25" t="s">
        <v>59</v>
      </c>
      <c r="B6" s="26">
        <v>250.0</v>
      </c>
      <c r="C6" s="26">
        <v>300.0</v>
      </c>
      <c r="D6" s="27" t="s">
        <v>35</v>
      </c>
      <c r="E6" s="27">
        <v>70.0</v>
      </c>
      <c r="F6" s="28">
        <v>89.0</v>
      </c>
      <c r="G6" s="29">
        <v>100.0</v>
      </c>
      <c r="H6" s="29">
        <v>4.0</v>
      </c>
      <c r="I6" s="29">
        <v>58.0</v>
      </c>
      <c r="J6" s="32">
        <f t="shared" si="1"/>
        <v>0.1</v>
      </c>
      <c r="K6" s="35">
        <f t="shared" si="2"/>
        <v>5607</v>
      </c>
      <c r="L6" s="35">
        <f t="shared" si="3"/>
        <v>6448.05</v>
      </c>
      <c r="M6" s="25"/>
    </row>
    <row r="7">
      <c r="A7" s="25" t="s">
        <v>59</v>
      </c>
      <c r="B7" s="26">
        <v>250.0</v>
      </c>
      <c r="C7" s="26">
        <v>300.0</v>
      </c>
      <c r="D7" s="27" t="s">
        <v>60</v>
      </c>
      <c r="E7" s="27">
        <v>70.0</v>
      </c>
      <c r="F7" s="28">
        <v>96.0</v>
      </c>
      <c r="G7" s="29">
        <v>100.0</v>
      </c>
      <c r="H7" s="29">
        <v>4.0</v>
      </c>
      <c r="I7" s="29">
        <v>58.0</v>
      </c>
      <c r="J7" s="32">
        <f t="shared" si="1"/>
        <v>0.1</v>
      </c>
      <c r="K7" s="35">
        <f t="shared" si="2"/>
        <v>6048</v>
      </c>
      <c r="L7" s="35">
        <f t="shared" si="3"/>
        <v>6955.2</v>
      </c>
      <c r="M7" s="25"/>
    </row>
    <row r="8">
      <c r="B8" s="44"/>
      <c r="C8" s="44"/>
      <c r="D8" s="46"/>
      <c r="E8" s="46"/>
      <c r="F8" s="28">
        <v>89.0</v>
      </c>
      <c r="G8" s="47"/>
      <c r="H8" s="47"/>
      <c r="I8" s="47"/>
      <c r="J8" s="32">
        <f t="shared" si="1"/>
        <v>0</v>
      </c>
      <c r="K8" s="35">
        <f t="shared" si="2"/>
        <v>0</v>
      </c>
      <c r="L8" s="35">
        <f t="shared" si="3"/>
        <v>0</v>
      </c>
    </row>
    <row r="9">
      <c r="B9" s="44"/>
      <c r="C9" s="44"/>
      <c r="D9" s="46"/>
      <c r="E9" s="46"/>
      <c r="F9" s="28">
        <v>89.0</v>
      </c>
      <c r="G9" s="47"/>
      <c r="H9" s="47"/>
      <c r="I9" s="47"/>
      <c r="J9" s="32">
        <f t="shared" si="1"/>
        <v>0</v>
      </c>
      <c r="K9" s="35">
        <f t="shared" si="2"/>
        <v>0</v>
      </c>
      <c r="L9" s="35">
        <f t="shared" si="3"/>
        <v>0</v>
      </c>
    </row>
  </sheetData>
  <conditionalFormatting sqref="A2:L100">
    <cfRule type="expression" dxfId="0" priority="1">
      <formula>$L2=MINIFS($L$2:$L$100,$L$2:$L$100,"&lt;&gt;0")</formula>
    </cfRule>
  </conditionalFormatting>
  <printOptions horizontalCentered="1"/>
  <pageMargins bottom="0.75" footer="0.0" header="0.0" left="0.7" right="0.7" top="0.75"/>
  <pageSetup fitToHeight="0" cellComments="atEnd" orientation="landscape" pageOrder="overThenDown"/>
  <drawing r:id="rId1"/>
</worksheet>
</file>